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240" activeTab="0"/>
  </bookViews>
  <sheets>
    <sheet name="Balloon Burst Estimator" sheetId="1" r:id="rId1"/>
  </sheets>
  <definedNames>
    <definedName name="TABLE" localSheetId="0">'Balloon Burst Estimator'!$E$5:$E$5</definedName>
    <definedName name="TABLE_2" localSheetId="0">'Balloon Burst Estimator'!$D$22:$P$22</definedName>
    <definedName name="TABLE_3" localSheetId="0">'Balloon Burst Estimator'!$D$23:$P$23</definedName>
  </definedNames>
  <calcPr fullCalcOnLoad="1"/>
</workbook>
</file>

<file path=xl/sharedStrings.xml><?xml version="1.0" encoding="utf-8"?>
<sst xmlns="http://schemas.openxmlformats.org/spreadsheetml/2006/main" count="37" uniqueCount="33">
  <si>
    <t>Volume at Launch</t>
  </si>
  <si>
    <t>Area</t>
  </si>
  <si>
    <t>Ascent Rate (m/sec)</t>
  </si>
  <si>
    <t>Free Lift (Kg)</t>
  </si>
  <si>
    <t>Gross Lift</t>
  </si>
  <si>
    <t>Free Lift (N)</t>
  </si>
  <si>
    <t>Hydrogen</t>
  </si>
  <si>
    <t>Helium</t>
  </si>
  <si>
    <t>Burst Dia (m)</t>
  </si>
  <si>
    <t>Burst Volume Ratio</t>
  </si>
  <si>
    <t>at 0C,101 kPa</t>
  </si>
  <si>
    <t>Air density at 0C,101 kPa</t>
  </si>
  <si>
    <t>density</t>
  </si>
  <si>
    <t>Air Density Model</t>
  </si>
  <si>
    <t>Totex Balloon Burst Estimator</t>
  </si>
  <si>
    <t>Gas</t>
  </si>
  <si>
    <t>Chosen Gas Density</t>
  </si>
  <si>
    <t>Launch Dia (m)</t>
  </si>
  <si>
    <t xml:space="preserve">Notes: </t>
  </si>
  <si>
    <t>Air density model based on NRLMSISE Standard Atmosphere Model - good to 80Km</t>
  </si>
  <si>
    <t>Burst height (m)</t>
  </si>
  <si>
    <t>Fill in the green cells - results in yellow cells (Pink cells are intermediate calculations, Tan cells are constants)</t>
  </si>
  <si>
    <t>Based on Kaymont Totex Sounding Balloon Data</t>
  </si>
  <si>
    <t>Model tends to under estimate balloon burst for small balloons by upto 3.5% - and over estimate for big balloons by upto 3.5%</t>
  </si>
  <si>
    <t>Burst Volume (cu m)</t>
  </si>
  <si>
    <t>Balloon (g)</t>
  </si>
  <si>
    <t>Payload (g)</t>
  </si>
  <si>
    <t>Burst dia (m)</t>
  </si>
  <si>
    <t>Cd</t>
  </si>
  <si>
    <t>Burst Height (ft)</t>
  </si>
  <si>
    <t>Balloon Cd</t>
  </si>
  <si>
    <t>Time to burst (min)</t>
  </si>
  <si>
    <t>Ascent Rate (m/min)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</si>
</sst>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 vertical="top" wrapText="1"/>
    </xf>
    <xf numFmtId="0" fontId="0" fillId="35" borderId="10" xfId="0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3" max="13" width="10.140625" style="0" customWidth="1"/>
  </cols>
  <sheetData>
    <row r="2" ht="20.25">
      <c r="C2" s="2" t="s">
        <v>14</v>
      </c>
    </row>
    <row r="4" spans="2:16" ht="12.75">
      <c r="B4" s="3" t="s">
        <v>15</v>
      </c>
      <c r="E4" s="6" t="s">
        <v>16</v>
      </c>
      <c r="H4" t="s">
        <v>11</v>
      </c>
      <c r="K4" t="s">
        <v>13</v>
      </c>
      <c r="O4" t="s">
        <v>15</v>
      </c>
      <c r="P4" t="s">
        <v>12</v>
      </c>
    </row>
    <row r="5" spans="2:17" ht="12.75">
      <c r="B5" s="1" t="s">
        <v>7</v>
      </c>
      <c r="E5" s="4">
        <f>VLOOKUP(B5,O5:P6,2,FALSE)</f>
        <v>0.1786</v>
      </c>
      <c r="H5" s="7">
        <v>1.205</v>
      </c>
      <c r="K5" s="7">
        <v>7238.3</v>
      </c>
      <c r="O5" t="s">
        <v>6</v>
      </c>
      <c r="P5">
        <v>0.0899</v>
      </c>
      <c r="Q5" t="s">
        <v>10</v>
      </c>
    </row>
    <row r="6" spans="15:17" ht="12.75">
      <c r="O6" t="s">
        <v>7</v>
      </c>
      <c r="P6">
        <v>0.1786</v>
      </c>
      <c r="Q6" t="s">
        <v>10</v>
      </c>
    </row>
    <row r="7" ht="13.5" thickBot="1">
      <c r="A7" s="3"/>
    </row>
    <row r="8" spans="1:20" ht="13.5" thickBot="1">
      <c r="A8" s="11" t="s">
        <v>17</v>
      </c>
      <c r="B8" s="12"/>
      <c r="C8" s="13" t="s">
        <v>0</v>
      </c>
      <c r="D8" s="12"/>
      <c r="E8" s="12" t="s">
        <v>1</v>
      </c>
      <c r="F8" s="12"/>
      <c r="G8" s="13" t="s">
        <v>25</v>
      </c>
      <c r="H8" s="12"/>
      <c r="I8" s="13" t="s">
        <v>26</v>
      </c>
      <c r="J8" s="12"/>
      <c r="K8" s="13" t="s">
        <v>8</v>
      </c>
      <c r="L8" s="12"/>
      <c r="M8" s="12" t="s">
        <v>24</v>
      </c>
      <c r="N8" s="12"/>
      <c r="O8" s="12" t="s">
        <v>9</v>
      </c>
      <c r="P8" s="12"/>
      <c r="Q8" s="13" t="s">
        <v>20</v>
      </c>
      <c r="R8" s="24"/>
      <c r="S8" s="15"/>
      <c r="T8" s="15"/>
    </row>
    <row r="9" spans="1:20" ht="13.5" thickBot="1">
      <c r="A9" s="14">
        <v>1.41373</v>
      </c>
      <c r="B9" s="15"/>
      <c r="C9" s="5">
        <f>(4/3)*PI()*POWER(A9/2,3)</f>
        <v>1.479442342773414</v>
      </c>
      <c r="D9" s="15"/>
      <c r="E9" s="16">
        <f>PI()*POWER(A9/2,2)</f>
        <v>1.5697223049380866</v>
      </c>
      <c r="F9" s="15"/>
      <c r="G9" s="17">
        <v>1000</v>
      </c>
      <c r="H9" s="15"/>
      <c r="I9" s="17">
        <v>150</v>
      </c>
      <c r="J9" s="15"/>
      <c r="K9" s="16">
        <f>HLOOKUP(G9,D22:P24,2,FALSE)</f>
        <v>7.86</v>
      </c>
      <c r="L9" s="15"/>
      <c r="M9" s="16">
        <f>(4/3)*PI()*POWER(K9/2,3)</f>
        <v>254.25310212724793</v>
      </c>
      <c r="N9" s="15"/>
      <c r="O9" s="16">
        <f>M9/C9</f>
        <v>171.85739165111107</v>
      </c>
      <c r="P9" s="15"/>
      <c r="Q9" s="5">
        <f>-(K5*LN(1/O9))</f>
        <v>37253.10537515941</v>
      </c>
      <c r="R9" s="25"/>
      <c r="S9" s="15"/>
      <c r="T9" s="15"/>
    </row>
    <row r="10" spans="1:20" ht="12.7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8"/>
      <c r="S10" s="15"/>
      <c r="T10" s="15"/>
    </row>
    <row r="11" spans="1:20" ht="13.5" thickBot="1">
      <c r="A11" s="19" t="s">
        <v>4</v>
      </c>
      <c r="B11" s="15"/>
      <c r="C11" s="15" t="s">
        <v>3</v>
      </c>
      <c r="D11" s="15"/>
      <c r="E11" s="15" t="s">
        <v>5</v>
      </c>
      <c r="F11" s="15"/>
      <c r="G11" s="20" t="s">
        <v>30</v>
      </c>
      <c r="H11" s="15"/>
      <c r="I11" s="15" t="s">
        <v>2</v>
      </c>
      <c r="J11" s="15"/>
      <c r="K11" s="20" t="s">
        <v>32</v>
      </c>
      <c r="L11" s="15"/>
      <c r="M11" s="15"/>
      <c r="N11" s="20" t="s">
        <v>31</v>
      </c>
      <c r="O11" s="15"/>
      <c r="P11" s="15"/>
      <c r="Q11" s="20" t="s">
        <v>29</v>
      </c>
      <c r="R11" s="18"/>
      <c r="S11" s="15"/>
      <c r="T11" s="15"/>
    </row>
    <row r="12" spans="1:20" ht="13.5" thickBot="1">
      <c r="A12" s="21">
        <f>(C9*(H5-E5))</f>
        <v>1.5184996206226322</v>
      </c>
      <c r="B12" s="22"/>
      <c r="C12" s="23">
        <f>A12-((G9+I9)/1000)</f>
        <v>0.3684996206226323</v>
      </c>
      <c r="D12" s="22"/>
      <c r="E12" s="23">
        <f>C12*9.81</f>
        <v>3.614981278308023</v>
      </c>
      <c r="F12" s="22"/>
      <c r="G12" s="23">
        <f>HLOOKUP(G9,D22:P24,3,FALSE)</f>
        <v>0.3</v>
      </c>
      <c r="H12" s="22"/>
      <c r="I12" s="23">
        <f>SQRT(E12/(0.5*G12*H5*E9))</f>
        <v>3.5694594986273094</v>
      </c>
      <c r="J12" s="22"/>
      <c r="K12" s="5">
        <f>I12*60</f>
        <v>214.16756991763856</v>
      </c>
      <c r="L12" s="22"/>
      <c r="M12" s="22"/>
      <c r="N12" s="5">
        <f>Q9/K12</f>
        <v>173.9437272855347</v>
      </c>
      <c r="O12" s="22"/>
      <c r="P12" s="22"/>
      <c r="Q12" s="5">
        <f>Q9*3.28</f>
        <v>122190.18563052286</v>
      </c>
      <c r="R12" s="26"/>
      <c r="S12" s="15"/>
      <c r="T12" s="15"/>
    </row>
    <row r="14" ht="13.5" customHeight="1"/>
    <row r="15" ht="12.75">
      <c r="A15" s="3" t="s">
        <v>18</v>
      </c>
    </row>
    <row r="16" ht="12.75">
      <c r="B16" t="s">
        <v>21</v>
      </c>
    </row>
    <row r="17" ht="12.75">
      <c r="B17" t="s">
        <v>22</v>
      </c>
    </row>
    <row r="18" ht="12.75">
      <c r="B18" t="s">
        <v>23</v>
      </c>
    </row>
    <row r="19" ht="12.75">
      <c r="B19" t="s">
        <v>19</v>
      </c>
    </row>
    <row r="22" spans="2:16" ht="12.75">
      <c r="B22" s="3" t="s">
        <v>25</v>
      </c>
      <c r="D22" s="8">
        <v>200</v>
      </c>
      <c r="E22" s="8">
        <v>300</v>
      </c>
      <c r="F22" s="8">
        <v>350</v>
      </c>
      <c r="G22" s="8">
        <v>450</v>
      </c>
      <c r="H22" s="8">
        <v>500</v>
      </c>
      <c r="I22" s="8">
        <v>600</v>
      </c>
      <c r="J22" s="8">
        <v>700</v>
      </c>
      <c r="K22" s="8">
        <v>800</v>
      </c>
      <c r="L22" s="8">
        <v>1000</v>
      </c>
      <c r="M22" s="8">
        <v>1200</v>
      </c>
      <c r="N22" s="8">
        <v>1500</v>
      </c>
      <c r="O22" s="8">
        <v>2000</v>
      </c>
      <c r="P22" s="8">
        <v>3000</v>
      </c>
    </row>
    <row r="23" spans="2:16" ht="12.75">
      <c r="B23" s="3" t="s">
        <v>27</v>
      </c>
      <c r="D23" s="9">
        <v>3</v>
      </c>
      <c r="E23" s="9">
        <v>3.78</v>
      </c>
      <c r="F23" s="9">
        <v>4.12</v>
      </c>
      <c r="G23" s="9">
        <v>4.72</v>
      </c>
      <c r="H23" s="9">
        <v>4.99</v>
      </c>
      <c r="I23" s="9">
        <v>6.02</v>
      </c>
      <c r="J23" s="9">
        <v>6.53</v>
      </c>
      <c r="K23" s="9">
        <v>7</v>
      </c>
      <c r="L23" s="9">
        <v>7.86</v>
      </c>
      <c r="M23" s="9">
        <v>8.63</v>
      </c>
      <c r="N23" s="9">
        <v>9.44</v>
      </c>
      <c r="O23" s="9">
        <v>10.54</v>
      </c>
      <c r="P23" s="9">
        <v>13</v>
      </c>
    </row>
    <row r="24" spans="2:16" ht="12.75">
      <c r="B24" s="3" t="s">
        <v>28</v>
      </c>
      <c r="D24" s="10">
        <v>0.25</v>
      </c>
      <c r="E24" s="10">
        <v>0.25</v>
      </c>
      <c r="F24" s="10">
        <v>0.25</v>
      </c>
      <c r="G24" s="10">
        <v>0.25</v>
      </c>
      <c r="H24" s="10">
        <v>0.25</v>
      </c>
      <c r="I24" s="10">
        <v>0.3</v>
      </c>
      <c r="J24" s="10">
        <v>0.3</v>
      </c>
      <c r="K24" s="10">
        <v>0.3</v>
      </c>
      <c r="L24" s="10">
        <v>0.3</v>
      </c>
      <c r="M24" s="10">
        <v>0.25</v>
      </c>
      <c r="N24" s="10">
        <v>0.25</v>
      </c>
      <c r="O24" s="10">
        <v>0.25</v>
      </c>
      <c r="P24" s="10">
        <v>0.25</v>
      </c>
    </row>
  </sheetData>
  <sheetProtection/>
  <dataValidations count="2">
    <dataValidation type="list" showInputMessage="1" showErrorMessage="1" sqref="G9">
      <formula1>$D$22:$P$22</formula1>
    </dataValidation>
    <dataValidation type="list" allowBlank="1" showInputMessage="1" showErrorMessage="1" sqref="B5">
      <formula1>$O$5:$O$6</formula1>
    </dataValidation>
  </dataValidation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guides:balloon_data [UKHAS Wiki]</dc:title>
  <dc:subject/>
  <dc:creator>SR</dc:creator>
  <cp:keywords/>
  <dc:description/>
  <cp:lastModifiedBy>Steve</cp:lastModifiedBy>
  <dcterms:created xsi:type="dcterms:W3CDTF">2006-11-25T19:09:59Z</dcterms:created>
  <dcterms:modified xsi:type="dcterms:W3CDTF">2008-03-19T12:58:47Z</dcterms:modified>
  <cp:category/>
  <cp:version/>
  <cp:contentType/>
  <cp:contentStatus/>
</cp:coreProperties>
</file>